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Historical_IS" sheetId="3" state="visible" r:id="rId3"/>
    <sheet xmlns:r="http://schemas.openxmlformats.org/officeDocument/2006/relationships" name="Clinic_Unit_Econ" sheetId="4" state="visible" r:id="rId4"/>
    <sheet xmlns:r="http://schemas.openxmlformats.org/officeDocument/2006/relationships" name="Forecast" sheetId="5" state="visible" r:id="rId5"/>
    <sheet xmlns:r="http://schemas.openxmlformats.org/officeDocument/2006/relationships" name="Valuation" sheetId="6" state="visible" r:id="rId6"/>
    <sheet xmlns:r="http://schemas.openxmlformats.org/officeDocument/2006/relationships" name="Sources" sheetId="7" state="visible" r:id="rId7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$#,##0.0"/>
    <numFmt numFmtId="167" formatCode="0.0x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color rgb="009C6500"/>
    </font>
    <font>
      <color rgb="000563C1"/>
      <u val="single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70AD47"/>
      </patternFill>
    </fill>
    <fill>
      <patternFill patternType="solid">
        <fgColor rgb="00FFF2CC"/>
      </patternFill>
    </fill>
  </fills>
  <borders count="6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7" fontId="0" fillId="0" borderId="1" applyAlignment="1" pivotButton="0" quotePrefix="0" xfId="0">
      <alignment vertical="center"/>
    </xf>
    <xf numFmtId="0" fontId="4" fillId="0" borderId="1" applyAlignment="1" pivotButton="0" quotePrefix="0" xfId="0">
      <alignment vertical="center" wrapText="1"/>
    </xf>
    <xf numFmtId="0" fontId="0" fillId="0" borderId="4" pivotButton="0" quotePrefix="0" xfId="0"/>
    <xf numFmtId="0" fontId="0" fillId="0" borderId="5" pivotButton="0" quotePrefix="0" xfId="0"/>
    <xf numFmtId="164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hyperlink" Target="https://www.sec.gov/Archives/edgar/data/1227636/000110465926029004/stim-20251231x10k.htm" TargetMode="External" Id="rId1"/><Relationship Type="http://schemas.openxmlformats.org/officeDocument/2006/relationships/hyperlink" Target="https://www.sec.gov/Archives/edgar/data/1227636/000110465926055322/stim-20260331x10q.htm" TargetMode="External" Id="rId2"/><Relationship Type="http://schemas.openxmlformats.org/officeDocument/2006/relationships/hyperlink" Target="https://ir.neuronetics.com/news-releases/news-release-details/neuronetics-reports-fourth-quarter-and-full-year-2025-financial" TargetMode="External" Id="rId3"/><Relationship Type="http://schemas.openxmlformats.org/officeDocument/2006/relationships/hyperlink" Target="https://www.fool.com/earnings/call-transcripts/2026/03/17/neuronetics-stim-q4-2025-earnings-transcript/" TargetMode="External" Id="rId4"/><Relationship Type="http://schemas.openxmlformats.org/officeDocument/2006/relationships/hyperlink" Target="https://ir.neuronetics.com/static-files/42eb2913-5a97-4f03-8a78-805890a852d7" TargetMode="External" Id="rId5"/><Relationship Type="http://schemas.openxmlformats.org/officeDocument/2006/relationships/hyperlink" Target="https://www.sec.gov/Archives/edgar/data/1816590/000181659026000007/exhibit991investorpresen.htm" TargetMode="External" Id="rId6"/><Relationship Type="http://schemas.openxmlformats.org/officeDocument/2006/relationships/hyperlink" Target="https://www.fool.com/earnings/call-transcripts/2026/05/13/compass-cmps-q1-2026-earnings-transcript/" TargetMode="External" Id="rId7"/><Relationship Type="http://schemas.openxmlformats.org/officeDocument/2006/relationships/hyperlink" Target="https://exa.ai/library/markets/stock/STIM?t=6a21a8e7d93e6b0fbf6fb4e4" TargetMode="External" Id="rId8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STIM Thesis Model Summary</t>
        </is>
      </c>
      <c r="B1" s="12" t="n"/>
      <c r="C1" s="12" t="n"/>
      <c r="D1" s="12" t="n"/>
      <c r="E1" s="12" t="n"/>
      <c r="F1" s="12" t="n"/>
      <c r="G1" s="12" t="n"/>
      <c r="H1" s="13" t="n"/>
    </row>
    <row r="2">
      <c r="A2" s="3" t="inlineStr">
        <is>
          <t>Question</t>
        </is>
      </c>
      <c r="B2" s="3" t="inlineStr">
        <is>
          <t>Model answer</t>
        </is>
      </c>
      <c r="C2" s="3" t="n"/>
      <c r="D2" s="3" t="n"/>
      <c r="E2" s="3" t="n"/>
      <c r="F2" s="3" t="n"/>
      <c r="G2" s="3" t="n"/>
      <c r="H2" s="3" t="n"/>
    </row>
    <row r="3">
      <c r="A3" s="2" t="inlineStr">
        <is>
          <t>What matters most?</t>
        </is>
      </c>
      <c r="B3" s="4" t="inlineStr">
        <is>
          <t>Clinic services are now the majority of revenue, but currently lower-margin and still segment-loss making after direct opex. The stock thesis hinges on improving clinic throughput/mix with limited incremental fixed cost.</t>
        </is>
      </c>
      <c r="C3" s="2" t="n"/>
      <c r="D3" s="2" t="n"/>
      <c r="E3" s="2" t="n"/>
      <c r="F3" s="2" t="n"/>
      <c r="G3" s="2" t="n"/>
      <c r="H3" s="2" t="n"/>
    </row>
    <row r="4">
      <c r="A4" s="2" t="inlineStr">
        <is>
          <t>Legacy medical device business</t>
        </is>
      </c>
      <c r="B4" s="4" t="inlineStr">
        <is>
          <t>Not a massive cost center: FY25 med device segment gross profit was $45.7mm / 73.5% GM and segment profit was $3.2mm after direct SG&amp;A/R&amp;D; Q1 26 segment profit was $1.3mm.</t>
        </is>
      </c>
      <c r="C4" s="2" t="n"/>
      <c r="D4" s="2" t="n"/>
      <c r="E4" s="2" t="n"/>
      <c r="F4" s="2" t="n"/>
      <c r="G4" s="2" t="n"/>
      <c r="H4" s="2" t="n"/>
    </row>
    <row r="5">
      <c r="A5" s="2" t="inlineStr">
        <is>
          <t>Clinic baseline</t>
        </is>
      </c>
      <c r="B5" s="4" t="inlineStr">
        <is>
          <t>FY25 clinic revenue $87.0mm, gross profit $26.6mm / 30.6% GM, segment loss $(3.2)mm after direct SG&amp;A/R&amp;D. Q1 26 clinic revenue $21.5mm, GM 28.3%, segment loss $(1.9)mm.</t>
        </is>
      </c>
      <c r="C5" s="2" t="n"/>
      <c r="D5" s="2" t="n"/>
      <c r="E5" s="2" t="n"/>
      <c r="F5" s="2" t="n"/>
      <c r="G5" s="2" t="n"/>
      <c r="H5" s="2" t="n"/>
    </row>
    <row r="6">
      <c r="A6" s="2" t="inlineStr">
        <is>
          <t>Spravato unit economics</t>
        </is>
      </c>
      <c r="B6" s="4" t="inlineStr">
        <is>
          <t>Base model: recurring ~22 sessions/patient/year; meaningful annual GP per patient but lower GP/room-day if rooms are underutilized and reimbursement is limited to sub-$300 service reimbursement plus modest drug spread.</t>
        </is>
      </c>
      <c r="C6" s="2" t="n"/>
      <c r="D6" s="2" t="n"/>
      <c r="E6" s="2" t="n"/>
      <c r="F6" s="2" t="n"/>
      <c r="G6" s="2" t="n"/>
      <c r="H6" s="2" t="n"/>
    </row>
    <row r="7">
      <c r="A7" s="2" t="inlineStr">
        <is>
          <t>COMP360 unit economics</t>
        </is>
      </c>
      <c r="B7" s="4" t="inlineStr">
        <is>
          <t>Base model: only 1.6 sessions/patient/year, but 6-hour reimbursed room time plus assumed drug spread drives much higher GP per room-day. This is where operating leverage shows up if existing rooms/staff are underutilized.</t>
        </is>
      </c>
      <c r="C7" s="2" t="n"/>
      <c r="D7" s="2" t="n"/>
      <c r="E7" s="2" t="n"/>
      <c r="F7" s="2" t="n"/>
      <c r="G7" s="2" t="n"/>
      <c r="H7" s="2" t="n"/>
    </row>
    <row r="8">
      <c r="A8" s="2" t="inlineStr">
        <is>
          <t>Key challenge to thesis</t>
        </is>
      </c>
      <c r="B8" s="4" t="inlineStr">
        <is>
          <t>COMP360 may generate lower annual GP per patient than Spravato unless monitoring reimbursement and/or drug buy-and-bill spread are meaningful. Final REMS staffing, payer coverage for Category III codes, and Compass drug pricing are still unknown.</t>
        </is>
      </c>
      <c r="C8" s="2" t="n"/>
      <c r="D8" s="2" t="n"/>
      <c r="E8" s="2" t="n"/>
      <c r="F8" s="2" t="n"/>
      <c r="G8" s="2" t="n"/>
      <c r="H8" s="2" t="n"/>
    </row>
    <row r="9">
      <c r="A9" s="2" t="inlineStr">
        <is>
          <t>Model scenario output</t>
        </is>
      </c>
      <c r="B9" s="4">
        <f>TEXT(Forecast!J13,"$0.0")&amp;"mm 2030E EBITDA in COMP360 case vs "&amp;TEXT(Forecast!F13,"$0.0")&amp;"mm base"</f>
        <v/>
      </c>
      <c r="C9" s="2" t="n"/>
      <c r="D9" s="2" t="n"/>
      <c r="E9" s="2" t="n"/>
      <c r="F9" s="2" t="n"/>
      <c r="G9" s="2" t="n"/>
      <c r="H9" s="2" t="n"/>
    </row>
    <row r="10">
      <c r="A10" s="2" t="inlineStr">
        <is>
          <t>Implied upside</t>
        </is>
      </c>
      <c r="B10" s="4">
        <f>TEXT(Valuation!B13,"$0.00")&amp;"/sh COMP360 scenario at "&amp;TEXT(Assumptions!B38,"0.0x")&amp;" EBITDA vs current "&amp;TEXT(Assumptions!B3,"$0.00")</f>
        <v/>
      </c>
      <c r="C10" s="2" t="n"/>
      <c r="D10" s="2" t="n"/>
      <c r="E10" s="2" t="n"/>
      <c r="F10" s="2" t="n"/>
      <c r="G10" s="2" t="n"/>
      <c r="H10" s="2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16" customWidth="1" min="2" max="2"/>
    <col width="72" customWidth="1" min="3" max="3"/>
  </cols>
  <sheetData>
    <row r="1">
      <c r="A1" s="1" t="inlineStr">
        <is>
          <t>STIM / Greenbrook Clinic Model Assumptions</t>
        </is>
      </c>
      <c r="B1" s="12" t="n"/>
      <c r="C1" s="12" t="n"/>
      <c r="D1" s="12" t="n"/>
      <c r="E1" s="12" t="n"/>
      <c r="F1" s="12" t="n"/>
      <c r="G1" s="12" t="n"/>
      <c r="H1" s="13" t="n"/>
    </row>
    <row r="2">
      <c r="A2" s="3" t="inlineStr">
        <is>
          <t>Assumption</t>
        </is>
      </c>
      <c r="B2" s="3" t="inlineStr">
        <is>
          <t>Value</t>
        </is>
      </c>
      <c r="C2" s="3" t="inlineStr">
        <is>
          <t>Notes</t>
        </is>
      </c>
      <c r="D2" s="3" t="n"/>
      <c r="E2" s="3" t="n"/>
      <c r="F2" s="3" t="n"/>
      <c r="G2" s="3" t="n"/>
      <c r="H2" s="3" t="n"/>
    </row>
    <row r="3">
      <c r="A3" s="5" t="inlineStr">
        <is>
          <t>Market / cap table</t>
        </is>
      </c>
      <c r="B3" s="12" t="n"/>
      <c r="C3" s="13" t="n"/>
      <c r="D3" s="2" t="n"/>
      <c r="E3" s="2" t="n"/>
      <c r="F3" s="2" t="n"/>
      <c r="G3" s="2" t="n"/>
      <c r="H3" s="2" t="n"/>
    </row>
    <row r="4">
      <c r="A4" s="2" t="inlineStr">
        <is>
          <t>Share price</t>
        </is>
      </c>
      <c r="B4" s="6" t="n">
        <v>1.39</v>
      </c>
      <c r="C4" s="2" t="inlineStr">
        <is>
          <t>Exa result Jun 3, 2026; update manually</t>
        </is>
      </c>
      <c r="D4" s="2" t="n"/>
      <c r="E4" s="2" t="n"/>
      <c r="F4" s="2" t="n"/>
      <c r="G4" s="2" t="n"/>
      <c r="H4" s="2" t="n"/>
    </row>
    <row r="5">
      <c r="A5" s="2" t="inlineStr">
        <is>
          <t>Diluted shares / SO</t>
        </is>
      </c>
      <c r="B5" s="6" t="n">
        <v>69.58799999999999</v>
      </c>
      <c r="C5" s="2" t="inlineStr">
        <is>
          <t>M shares; Q1 2026 10-Q shares outstanding May 1 2026</t>
        </is>
      </c>
      <c r="D5" s="2" t="n"/>
      <c r="E5" s="2" t="n"/>
      <c r="F5" s="2" t="n"/>
      <c r="G5" s="2" t="n"/>
      <c r="H5" s="2" t="n"/>
    </row>
    <row r="6">
      <c r="A6" s="2" t="inlineStr">
        <is>
          <t>Cash + restricted cash</t>
        </is>
      </c>
      <c r="B6" s="6" t="n">
        <v>18.964</v>
      </c>
      <c r="C6" s="2" t="inlineStr">
        <is>
          <t>$mm; Q1 2026 10-Q</t>
        </is>
      </c>
      <c r="D6" s="2" t="n"/>
      <c r="E6" s="2" t="n"/>
      <c r="F6" s="2" t="n"/>
      <c r="G6" s="2" t="n"/>
      <c r="H6" s="2" t="n"/>
    </row>
    <row r="7">
      <c r="A7" s="2" t="inlineStr">
        <is>
          <t>Debt</t>
        </is>
      </c>
      <c r="B7" s="6" t="n">
        <v>61.297</v>
      </c>
      <c r="C7" s="2" t="inlineStr">
        <is>
          <t>$mm; Q1 2026 10-Q long-term debt, net</t>
        </is>
      </c>
      <c r="D7" s="2" t="n"/>
      <c r="E7" s="2" t="n"/>
      <c r="F7" s="2" t="n"/>
      <c r="G7" s="2" t="n"/>
      <c r="H7" s="2" t="n"/>
    </row>
    <row r="8">
      <c r="A8" s="2" t="inlineStr"/>
      <c r="B8" s="2" t="inlineStr"/>
      <c r="C8" s="2" t="inlineStr"/>
      <c r="D8" s="2" t="n"/>
      <c r="E8" s="2" t="n"/>
      <c r="F8" s="2" t="n"/>
      <c r="G8" s="2" t="n"/>
      <c r="H8" s="2" t="n"/>
    </row>
    <row r="9">
      <c r="A9" s="5" t="inlineStr">
        <is>
          <t>Clinic network</t>
        </is>
      </c>
      <c r="B9" s="12" t="n"/>
      <c r="C9" s="13" t="n"/>
      <c r="D9" s="2" t="n"/>
      <c r="E9" s="2" t="n"/>
      <c r="F9" s="2" t="n"/>
      <c r="G9" s="2" t="n"/>
      <c r="H9" s="2" t="n"/>
    </row>
    <row r="10">
      <c r="A10" s="2" t="inlineStr">
        <is>
          <t>Total Greenbrook centers</t>
        </is>
      </c>
      <c r="B10" s="6" t="n">
        <v>93</v>
      </c>
      <c r="C10" s="2" t="inlineStr">
        <is>
          <t>2025 10-K</t>
        </is>
      </c>
      <c r="D10" s="2" t="n"/>
      <c r="E10" s="2" t="n"/>
      <c r="F10" s="2" t="n"/>
      <c r="G10" s="2" t="n"/>
      <c r="H10" s="2" t="n"/>
    </row>
    <row r="11">
      <c r="A11" s="2" t="inlineStr">
        <is>
          <t>Spravato centers active</t>
        </is>
      </c>
      <c r="B11" s="6" t="n">
        <v>84</v>
      </c>
      <c r="C11" s="2" t="inlineStr">
        <is>
          <t>Q4 2025 call / 10-K says 83 at 12/31/25; call says 84</t>
        </is>
      </c>
      <c r="D11" s="2" t="n"/>
      <c r="E11" s="2" t="n"/>
      <c r="F11" s="2" t="n"/>
      <c r="G11" s="2" t="n"/>
      <c r="H11" s="2" t="n"/>
    </row>
    <row r="12">
      <c r="A12" s="2" t="inlineStr">
        <is>
          <t>Rooms per Spravato center</t>
        </is>
      </c>
      <c r="B12" s="6" t="n">
        <v>1.5</v>
      </c>
      <c r="C12" s="2" t="inlineStr">
        <is>
          <t>Model assumption</t>
        </is>
      </c>
      <c r="D12" s="2" t="n"/>
      <c r="E12" s="2" t="n"/>
      <c r="F12" s="2" t="n"/>
      <c r="G12" s="2" t="n"/>
      <c r="H12" s="2" t="n"/>
    </row>
    <row r="13">
      <c r="A13" s="2" t="inlineStr">
        <is>
          <t>Clinic days / year</t>
        </is>
      </c>
      <c r="B13" s="6" t="n">
        <v>250</v>
      </c>
      <c r="C13" s="2" t="inlineStr">
        <is>
          <t>Model assumption</t>
        </is>
      </c>
      <c r="D13" s="2" t="n"/>
      <c r="E13" s="2" t="n"/>
      <c r="F13" s="2" t="n"/>
      <c r="G13" s="2" t="n"/>
      <c r="H13" s="2" t="n"/>
    </row>
    <row r="14">
      <c r="A14" s="2" t="inlineStr">
        <is>
          <t>Spravato turns / room / day</t>
        </is>
      </c>
      <c r="B14" s="6" t="n">
        <v>1.5</v>
      </c>
      <c r="C14" s="2" t="inlineStr">
        <is>
          <t>Model assumption; Compass says max efficient can be 3, most below</t>
        </is>
      </c>
      <c r="D14" s="2" t="n"/>
      <c r="E14" s="2" t="n"/>
      <c r="F14" s="2" t="n"/>
      <c r="G14" s="2" t="n"/>
      <c r="H14" s="2" t="n"/>
    </row>
    <row r="15">
      <c r="A15" s="2" t="inlineStr"/>
      <c r="B15" s="2" t="inlineStr"/>
      <c r="C15" s="2" t="inlineStr"/>
      <c r="D15" s="2" t="n"/>
      <c r="E15" s="2" t="n"/>
      <c r="F15" s="2" t="n"/>
      <c r="G15" s="2" t="n"/>
      <c r="H15" s="2" t="n"/>
    </row>
    <row r="16">
      <c r="A16" s="5" t="inlineStr">
        <is>
          <t>Spravato unit economics</t>
        </is>
      </c>
      <c r="B16" s="12" t="n"/>
      <c r="C16" s="13" t="n"/>
      <c r="D16" s="2" t="n"/>
      <c r="E16" s="2" t="n"/>
      <c r="F16" s="2" t="n"/>
      <c r="G16" s="2" t="n"/>
      <c r="H16" s="2" t="n"/>
    </row>
    <row r="17">
      <c r="A17" s="2" t="inlineStr">
        <is>
          <t>Spravato sessions / patient / year</t>
        </is>
      </c>
      <c r="B17" s="6" t="n">
        <v>22</v>
      </c>
      <c r="C17" s="2" t="inlineStr">
        <is>
          <t>8 induction + 4 taper + ~10 maintenance per STIM deck</t>
        </is>
      </c>
      <c r="D17" s="2" t="n"/>
      <c r="E17" s="2" t="n"/>
      <c r="F17" s="2" t="n"/>
      <c r="G17" s="2" t="n"/>
      <c r="H17" s="2" t="n"/>
    </row>
    <row r="18">
      <c r="A18" s="2" t="inlineStr">
        <is>
          <t>Admin/service reimbursement / session</t>
        </is>
      </c>
      <c r="B18" s="6" t="n">
        <v>275</v>
      </c>
      <c r="C18" s="2" t="inlineStr">
        <is>
          <t>$; Compass: average Spravato session reimbursement somewhere south of $300</t>
        </is>
      </c>
      <c r="D18" s="2" t="n"/>
      <c r="E18" s="2" t="n"/>
      <c r="F18" s="2" t="n"/>
      <c r="G18" s="2" t="n"/>
      <c r="H18" s="2" t="n"/>
    </row>
    <row r="19">
      <c r="A19" s="2" t="inlineStr">
        <is>
          <t>Drug reimbursement / session if buy-and-bill</t>
        </is>
      </c>
      <c r="B19" s="6" t="n">
        <v>950</v>
      </c>
      <c r="C19" s="2" t="inlineStr">
        <is>
          <t>$; placeholder, edit by payer/dose</t>
        </is>
      </c>
      <c r="D19" s="2" t="n"/>
      <c r="E19" s="2" t="n"/>
      <c r="F19" s="2" t="n"/>
      <c r="G19" s="2" t="n"/>
      <c r="H19" s="2" t="n"/>
    </row>
    <row r="20">
      <c r="A20" s="2" t="inlineStr">
        <is>
          <t>Drug acquisition cost / buy-and-bill session</t>
        </is>
      </c>
      <c r="B20" s="6" t="n">
        <v>855</v>
      </c>
      <c r="C20" s="2" t="inlineStr">
        <is>
          <t>$; placeholder 90% of drug reimbursement</t>
        </is>
      </c>
      <c r="D20" s="2" t="n"/>
      <c r="E20" s="2" t="n"/>
      <c r="F20" s="2" t="n"/>
      <c r="G20" s="2" t="n"/>
      <c r="H20" s="2" t="n"/>
    </row>
    <row r="21">
      <c r="A21" s="2" t="inlineStr">
        <is>
          <t>Buy-and-bill mix</t>
        </is>
      </c>
      <c r="B21" s="6" t="n">
        <v>45</v>
      </c>
      <c r="C21" s="2" t="inlineStr">
        <is>
          <t>%; Compass said 35%-45% industry estimate</t>
        </is>
      </c>
      <c r="D21" s="2" t="n"/>
      <c r="E21" s="2" t="n"/>
      <c r="F21" s="2" t="n"/>
      <c r="G21" s="2" t="n"/>
      <c r="H21" s="2" t="n"/>
    </row>
    <row r="22">
      <c r="A22" s="2" t="inlineStr">
        <is>
          <t>Staff + supplies cost / session</t>
        </is>
      </c>
      <c r="B22" s="6" t="n">
        <v>55</v>
      </c>
      <c r="C22" s="2" t="inlineStr">
        <is>
          <t>$; model assumption excluding drug</t>
        </is>
      </c>
      <c r="D22" s="2" t="n"/>
      <c r="E22" s="2" t="n"/>
      <c r="F22" s="2" t="n"/>
      <c r="G22" s="2" t="n"/>
      <c r="H22" s="2" t="n"/>
    </row>
    <row r="23">
      <c r="A23" s="2" t="inlineStr"/>
      <c r="B23" s="2" t="inlineStr"/>
      <c r="C23" s="2" t="inlineStr"/>
      <c r="D23" s="2" t="n"/>
      <c r="E23" s="2" t="n"/>
      <c r="F23" s="2" t="n"/>
      <c r="G23" s="2" t="n"/>
      <c r="H23" s="2" t="n"/>
    </row>
    <row r="24">
      <c r="A24" s="5" t="inlineStr">
        <is>
          <t>COMP360 unit economics</t>
        </is>
      </c>
      <c r="B24" s="12" t="n"/>
      <c r="C24" s="13" t="n"/>
      <c r="D24" s="2" t="n"/>
      <c r="E24" s="2" t="n"/>
      <c r="F24" s="2" t="n"/>
      <c r="G24" s="2" t="n"/>
      <c r="H24" s="2" t="n"/>
    </row>
    <row r="25">
      <c r="A25" s="2" t="inlineStr">
        <is>
          <t>COMP360 sessions / patient / year</t>
        </is>
      </c>
      <c r="B25" s="6" t="n">
        <v>1.6</v>
      </c>
      <c r="C25" s="2" t="inlineStr">
        <is>
          <t>1-2 doses plus episodic dosing; label not finalized</t>
        </is>
      </c>
      <c r="D25" s="2" t="n"/>
      <c r="E25" s="2" t="n"/>
      <c r="F25" s="2" t="n"/>
      <c r="G25" s="2" t="n"/>
      <c r="H25" s="2" t="n"/>
    </row>
    <row r="26">
      <c r="A26" s="2" t="inlineStr">
        <is>
          <t>COMP360 monitoring hours / session</t>
        </is>
      </c>
      <c r="B26" s="6" t="n">
        <v>6</v>
      </c>
      <c r="C26" s="2" t="inlineStr">
        <is>
          <t>Compass expected at least/about 6 hours</t>
        </is>
      </c>
      <c r="D26" s="2" t="n"/>
      <c r="E26" s="2" t="n"/>
      <c r="F26" s="2" t="n"/>
      <c r="G26" s="2" t="n"/>
      <c r="H26" s="2" t="n"/>
    </row>
    <row r="27">
      <c r="A27" s="2" t="inlineStr">
        <is>
          <t>Monitoring reimbursement / hour</t>
        </is>
      </c>
      <c r="B27" s="6" t="n">
        <v>250</v>
      </c>
      <c r="C27" s="2" t="inlineStr">
        <is>
          <t>$; CPT III / payer assumption</t>
        </is>
      </c>
      <c r="D27" s="2" t="n"/>
      <c r="E27" s="2" t="n"/>
      <c r="F27" s="2" t="n"/>
      <c r="G27" s="2" t="n"/>
      <c r="H27" s="2" t="n"/>
    </row>
    <row r="28">
      <c r="A28" s="2" t="inlineStr">
        <is>
          <t>COMP360 drug reimbursement / session</t>
        </is>
      </c>
      <c r="B28" s="6" t="n">
        <v>8000</v>
      </c>
      <c r="C28" s="2" t="inlineStr">
        <is>
          <t>$; unknown, editable</t>
        </is>
      </c>
      <c r="D28" s="2" t="n"/>
      <c r="E28" s="2" t="n"/>
      <c r="F28" s="2" t="n"/>
      <c r="G28" s="2" t="n"/>
      <c r="H28" s="2" t="n"/>
    </row>
    <row r="29">
      <c r="A29" s="2" t="inlineStr">
        <is>
          <t>COMP360 drug acquisition cost / session</t>
        </is>
      </c>
      <c r="B29" s="6" t="n">
        <v>6400</v>
      </c>
      <c r="C29" s="2" t="inlineStr">
        <is>
          <t>$; unknown, editable 20% gross spread</t>
        </is>
      </c>
      <c r="D29" s="2" t="n"/>
      <c r="E29" s="2" t="n"/>
      <c r="F29" s="2" t="n"/>
      <c r="G29" s="2" t="n"/>
      <c r="H29" s="2" t="n"/>
    </row>
    <row r="30">
      <c r="A30" s="2" t="inlineStr">
        <is>
          <t>Licensed staff cost / hour</t>
        </is>
      </c>
      <c r="B30" s="6" t="n">
        <v>85</v>
      </c>
      <c r="C30" s="2" t="inlineStr">
        <is>
          <t>$; if REMS requires licensed HCP; editable</t>
        </is>
      </c>
      <c r="D30" s="2" t="n"/>
      <c r="E30" s="2" t="n"/>
      <c r="F30" s="2" t="n"/>
      <c r="G30" s="2" t="n"/>
      <c r="H30" s="2" t="n"/>
    </row>
    <row r="31">
      <c r="A31" s="2" t="inlineStr">
        <is>
          <t>Other variable cost / COMP360 session</t>
        </is>
      </c>
      <c r="B31" s="6" t="n">
        <v>100</v>
      </c>
      <c r="C31" s="2" t="inlineStr">
        <is>
          <t>$; supplies/admin assumption</t>
        </is>
      </c>
      <c r="D31" s="2" t="n"/>
      <c r="E31" s="2" t="n"/>
      <c r="F31" s="2" t="n"/>
      <c r="G31" s="2" t="n"/>
      <c r="H31" s="2" t="n"/>
    </row>
    <row r="32">
      <c r="A32" s="2" t="inlineStr"/>
      <c r="B32" s="2" t="inlineStr"/>
      <c r="C32" s="2" t="inlineStr"/>
      <c r="D32" s="2" t="n"/>
      <c r="E32" s="2" t="n"/>
      <c r="F32" s="2" t="n"/>
      <c r="G32" s="2" t="n"/>
      <c r="H32" s="2" t="n"/>
    </row>
    <row r="33">
      <c r="A33" s="5" t="inlineStr">
        <is>
          <t>Forecast / valuation</t>
        </is>
      </c>
      <c r="B33" s="12" t="n"/>
      <c r="C33" s="13" t="n"/>
      <c r="D33" s="2" t="n"/>
      <c r="E33" s="2" t="n"/>
      <c r="F33" s="2" t="n"/>
      <c r="G33" s="2" t="n"/>
      <c r="H33" s="2" t="n"/>
    </row>
    <row r="34">
      <c r="A34" s="2" t="inlineStr">
        <is>
          <t>2026 revenue guidance midpoint</t>
        </is>
      </c>
      <c r="B34" s="6" t="n">
        <v>163</v>
      </c>
      <c r="C34" s="2" t="inlineStr">
        <is>
          <t>$mm; company guide $160-$166mm</t>
        </is>
      </c>
      <c r="D34" s="2" t="n"/>
      <c r="E34" s="2" t="n"/>
      <c r="F34" s="2" t="n"/>
      <c r="G34" s="2" t="n"/>
      <c r="H34" s="2" t="n"/>
    </row>
    <row r="35">
      <c r="A35" s="2" t="inlineStr">
        <is>
          <t>2026 gross margin midpoint</t>
        </is>
      </c>
      <c r="B35" s="6" t="n">
        <v>48</v>
      </c>
      <c r="C35" s="2" t="inlineStr">
        <is>
          <t>%; company guide 47%-49%</t>
        </is>
      </c>
      <c r="D35" s="2" t="n"/>
      <c r="E35" s="2" t="n"/>
      <c r="F35" s="2" t="n"/>
      <c r="G35" s="2" t="n"/>
      <c r="H35" s="2" t="n"/>
    </row>
    <row r="36">
      <c r="A36" s="2" t="inlineStr">
        <is>
          <t>2026 operating expense</t>
        </is>
      </c>
      <c r="B36" s="6" t="n">
        <v>100.4</v>
      </c>
      <c r="C36" s="2" t="inlineStr">
        <is>
          <t>$mm; Q1 2026 annualized operating expense</t>
        </is>
      </c>
      <c r="D36" s="2" t="n"/>
      <c r="E36" s="2" t="n"/>
      <c r="F36" s="2" t="n"/>
      <c r="G36" s="2" t="n"/>
      <c r="H36" s="2" t="n"/>
    </row>
    <row r="37">
      <c r="A37" s="2" t="inlineStr">
        <is>
          <t>Tax rate</t>
        </is>
      </c>
      <c r="B37" s="6" t="n">
        <v>0</v>
      </c>
      <c r="C37" s="2" t="inlineStr">
        <is>
          <t>%; NOL / loss-making model</t>
        </is>
      </c>
      <c r="D37" s="2" t="n"/>
      <c r="E37" s="2" t="n"/>
      <c r="F37" s="2" t="n"/>
      <c r="G37" s="2" t="n"/>
      <c r="H37" s="2" t="n"/>
    </row>
    <row r="38">
      <c r="A38" s="2" t="inlineStr">
        <is>
          <t>EBITDA multiple</t>
        </is>
      </c>
      <c r="B38" s="6" t="n">
        <v>12</v>
      </c>
      <c r="C38" s="2" t="inlineStr">
        <is>
          <t>x; editable</t>
        </is>
      </c>
      <c r="D38" s="2" t="n"/>
      <c r="E38" s="2" t="n"/>
      <c r="F38" s="2" t="n"/>
      <c r="G38" s="2" t="n"/>
      <c r="H38" s="2" t="n"/>
    </row>
  </sheetData>
  <mergeCells count="6">
    <mergeCell ref="A33:C33"/>
    <mergeCell ref="A9:C9"/>
    <mergeCell ref="A3:C3"/>
    <mergeCell ref="A1:H1"/>
    <mergeCell ref="A24:C24"/>
    <mergeCell ref="A16:C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6"/>
  <sheetViews>
    <sheetView workbookViewId="0">
      <pane ySplit="2" topLeftCell="A3" activePane="bottomLeft" state="frozen"/>
      <selection pane="bottomLeft" activeCell="A1" sqref="A1"/>
      <selection pane="bottomLeft" activeCell="A1" sqref="A1"/>
      <selection pane="bottomRight" activeCell="A1" sqref="A1"/>
    </sheetView>
  </sheetViews>
  <sheetFormatPr baseColWidth="8" defaultRowHeight="15"/>
  <cols>
    <col width="17" customWidth="1" min="1" max="1"/>
    <col width="17" customWidth="1" min="2" max="2"/>
    <col width="17" customWidth="1" min="3" max="3"/>
    <col width="17" customWidth="1" min="4" max="4"/>
    <col width="17" customWidth="1" min="5" max="5"/>
    <col width="17" customWidth="1" min="6" max="6"/>
    <col width="17" customWidth="1" min="7" max="7"/>
    <col width="17" customWidth="1" min="8" max="8"/>
    <col width="17" customWidth="1" min="9" max="9"/>
    <col width="17" customWidth="1" min="10" max="10"/>
    <col width="17" customWidth="1" min="11" max="11"/>
    <col width="17" customWidth="1" min="12" max="12"/>
    <col width="17" customWidth="1" min="13" max="13"/>
  </cols>
  <sheetData>
    <row r="1">
      <c r="A1" s="1" t="inlineStr">
        <is>
          <t>Historical Income Statement by Segment ($mm)</t>
        </is>
      </c>
      <c r="B1" s="12" t="n"/>
      <c r="C1" s="12" t="n"/>
      <c r="D1" s="12" t="n"/>
      <c r="E1" s="12" t="n"/>
      <c r="F1" s="12" t="n"/>
      <c r="G1" s="12" t="n"/>
      <c r="H1" s="13" t="n"/>
      <c r="I1" s="2" t="n"/>
      <c r="J1" s="2" t="n"/>
      <c r="K1" s="2" t="n"/>
      <c r="L1" s="2" t="n"/>
      <c r="M1" s="2" t="n"/>
    </row>
    <row r="2">
      <c r="A2" s="3" t="inlineStr">
        <is>
          <t>Metric</t>
        </is>
      </c>
      <c r="B2" s="3" t="inlineStr">
        <is>
          <t>2023 Med Device</t>
        </is>
      </c>
      <c r="C2" s="3" t="inlineStr">
        <is>
          <t>2023 Clinic</t>
        </is>
      </c>
      <c r="D2" s="3" t="inlineStr">
        <is>
          <t>2023 Total</t>
        </is>
      </c>
      <c r="E2" s="3" t="inlineStr">
        <is>
          <t>2024 Med Device</t>
        </is>
      </c>
      <c r="F2" s="3" t="inlineStr">
        <is>
          <t>2024 Clinic</t>
        </is>
      </c>
      <c r="G2" s="3" t="inlineStr">
        <is>
          <t>2024 Total</t>
        </is>
      </c>
      <c r="H2" s="3" t="inlineStr">
        <is>
          <t>2025 Med Device</t>
        </is>
      </c>
      <c r="I2" s="3" t="inlineStr">
        <is>
          <t>2025 Clinic</t>
        </is>
      </c>
      <c r="J2" s="3" t="inlineStr">
        <is>
          <t>2025 Total</t>
        </is>
      </c>
      <c r="K2" s="3" t="inlineStr">
        <is>
          <t>Q1 26 Med Device</t>
        </is>
      </c>
      <c r="L2" s="3" t="inlineStr">
        <is>
          <t>Q1 26 Clinic</t>
        </is>
      </c>
      <c r="M2" s="3" t="inlineStr">
        <is>
          <t>Q1 26 Total</t>
        </is>
      </c>
    </row>
    <row r="3">
      <c r="A3" s="2" t="inlineStr">
        <is>
          <t>Revenue</t>
        </is>
      </c>
      <c r="B3" s="14" t="n">
        <v>71.348</v>
      </c>
      <c r="C3" s="14" t="n">
        <v>0</v>
      </c>
      <c r="D3" s="14" t="n">
        <v>71.348</v>
      </c>
      <c r="E3" s="14" t="n">
        <v>70.44499999999999</v>
      </c>
      <c r="F3" s="14" t="n">
        <v>4.445</v>
      </c>
      <c r="G3" s="14" t="n">
        <v>74.89</v>
      </c>
      <c r="H3" s="14" t="n">
        <v>62.18</v>
      </c>
      <c r="I3" s="14" t="n">
        <v>86.977</v>
      </c>
      <c r="J3" s="14" t="n">
        <v>149.157</v>
      </c>
      <c r="K3" s="14" t="n">
        <v>12.925</v>
      </c>
      <c r="L3" s="14" t="n">
        <v>21.529</v>
      </c>
      <c r="M3" s="14" t="n">
        <v>34.454</v>
      </c>
    </row>
    <row r="4">
      <c r="A4" s="2" t="inlineStr">
        <is>
          <t>Cost of revenue</t>
        </is>
      </c>
      <c r="B4" s="14" t="n">
        <v>19.643</v>
      </c>
      <c r="C4" s="14" t="n">
        <v>0</v>
      </c>
      <c r="D4" s="14" t="n">
        <v>19.643</v>
      </c>
      <c r="E4" s="14" t="n">
        <v>17.516</v>
      </c>
      <c r="F4" s="14" t="n">
        <v>3.213</v>
      </c>
      <c r="G4" s="14" t="n">
        <v>20.729</v>
      </c>
      <c r="H4" s="14" t="n">
        <v>16.464</v>
      </c>
      <c r="I4" s="14" t="n">
        <v>60.385</v>
      </c>
      <c r="J4" s="14" t="n">
        <v>76.849</v>
      </c>
      <c r="K4" s="14" t="n">
        <v>2.858</v>
      </c>
      <c r="L4" s="14" t="n">
        <v>15.442</v>
      </c>
      <c r="M4" s="14" t="n">
        <v>18.3</v>
      </c>
    </row>
    <row r="5">
      <c r="A5" s="2" t="inlineStr">
        <is>
          <t>Gross profit</t>
        </is>
      </c>
      <c r="B5" s="15">
        <f>B3-B4</f>
        <v/>
      </c>
      <c r="C5" s="15">
        <f>C3-C4</f>
        <v/>
      </c>
      <c r="D5" s="15">
        <f>D3-D4</f>
        <v/>
      </c>
      <c r="E5" s="15">
        <f>E3-E4</f>
        <v/>
      </c>
      <c r="F5" s="15">
        <f>F3-F4</f>
        <v/>
      </c>
      <c r="G5" s="15">
        <f>G3-G4</f>
        <v/>
      </c>
      <c r="H5" s="15">
        <f>H3-H4</f>
        <v/>
      </c>
      <c r="I5" s="15">
        <f>I3-I4</f>
        <v/>
      </c>
      <c r="J5" s="15">
        <f>J3-J4</f>
        <v/>
      </c>
      <c r="K5" s="15">
        <f>K3-K4</f>
        <v/>
      </c>
      <c r="L5" s="15">
        <f>L3-L4</f>
        <v/>
      </c>
      <c r="M5" s="15">
        <f>M3-M4</f>
        <v/>
      </c>
    </row>
    <row r="6">
      <c r="A6" s="2" t="inlineStr">
        <is>
          <t>Gross margin</t>
        </is>
      </c>
      <c r="B6" s="15">
        <f>B5/B3</f>
        <v/>
      </c>
      <c r="C6" s="15">
        <f>C5/C3</f>
        <v/>
      </c>
      <c r="D6" s="15">
        <f>D5/D3</f>
        <v/>
      </c>
      <c r="E6" s="15">
        <f>E5/E3</f>
        <v/>
      </c>
      <c r="F6" s="15">
        <f>F5/F3</f>
        <v/>
      </c>
      <c r="G6" s="15">
        <f>G5/G3</f>
        <v/>
      </c>
      <c r="H6" s="15">
        <f>H5/H3</f>
        <v/>
      </c>
      <c r="I6" s="15">
        <f>I5/I3</f>
        <v/>
      </c>
      <c r="J6" s="15">
        <f>J5/J3</f>
        <v/>
      </c>
      <c r="K6" s="15">
        <f>K5/K3</f>
        <v/>
      </c>
      <c r="L6" s="15">
        <f>L5/L3</f>
        <v/>
      </c>
      <c r="M6" s="15">
        <f>M5/M3</f>
        <v/>
      </c>
    </row>
    <row r="7">
      <c r="A7" s="2" t="inlineStr">
        <is>
          <t>Direct SG&amp;A</t>
        </is>
      </c>
      <c r="B7" s="14" t="n">
        <v>47.318</v>
      </c>
      <c r="C7" s="14" t="n">
        <v>0</v>
      </c>
      <c r="D7" s="14" t="n">
        <v>47.318</v>
      </c>
      <c r="E7" s="14" t="n">
        <v>44.777</v>
      </c>
      <c r="F7" s="14" t="n">
        <v>0.854</v>
      </c>
      <c r="G7" s="14" t="n">
        <v>45.631</v>
      </c>
      <c r="H7" s="14" t="n">
        <v>36.12</v>
      </c>
      <c r="I7" s="14" t="n">
        <v>29.528</v>
      </c>
      <c r="J7" s="14" t="n">
        <v>65.648</v>
      </c>
      <c r="K7" s="14" t="n">
        <v>7.419</v>
      </c>
      <c r="L7" s="14" t="n">
        <v>7.883</v>
      </c>
      <c r="M7" s="14" t="n">
        <v>15.302</v>
      </c>
    </row>
    <row r="8">
      <c r="A8" s="2" t="inlineStr">
        <is>
          <t>Direct R&amp;D</t>
        </is>
      </c>
      <c r="B8" s="14" t="n">
        <v>9.515000000000001</v>
      </c>
      <c r="C8" s="14" t="n">
        <v>0</v>
      </c>
      <c r="D8" s="14" t="n">
        <v>9.515000000000001</v>
      </c>
      <c r="E8" s="14" t="n">
        <v>12.758</v>
      </c>
      <c r="F8" s="14" t="n">
        <v>0.013</v>
      </c>
      <c r="G8" s="14" t="n">
        <v>12.771</v>
      </c>
      <c r="H8" s="14" t="n">
        <v>6.353</v>
      </c>
      <c r="I8" s="14" t="n">
        <v>0.231</v>
      </c>
      <c r="J8" s="14" t="n">
        <v>6.584</v>
      </c>
      <c r="K8" s="14" t="n">
        <v>1.305</v>
      </c>
      <c r="L8" s="14" t="n">
        <v>0.06</v>
      </c>
      <c r="M8" s="14" t="n">
        <v>1.365</v>
      </c>
    </row>
    <row r="9">
      <c r="A9" s="2" t="inlineStr">
        <is>
          <t>Segment profit / (loss)</t>
        </is>
      </c>
      <c r="B9" s="15">
        <f>B5-B7-B8</f>
        <v/>
      </c>
      <c r="C9" s="15">
        <f>C5-C7-C8</f>
        <v/>
      </c>
      <c r="D9" s="15">
        <f>D5-D7-D8</f>
        <v/>
      </c>
      <c r="E9" s="15">
        <f>E5-E7-E8</f>
        <v/>
      </c>
      <c r="F9" s="15">
        <f>F5-F7-F8</f>
        <v/>
      </c>
      <c r="G9" s="15">
        <f>G5-G7-G8</f>
        <v/>
      </c>
      <c r="H9" s="15">
        <f>H5-H7-H8</f>
        <v/>
      </c>
      <c r="I9" s="15">
        <f>I5-I7-I8</f>
        <v/>
      </c>
      <c r="J9" s="15">
        <f>J5-J7-J8</f>
        <v/>
      </c>
      <c r="K9" s="15">
        <f>K5-K7-K8</f>
        <v/>
      </c>
      <c r="L9" s="15">
        <f>L5-L7-L8</f>
        <v/>
      </c>
      <c r="M9" s="15">
        <f>M5-M7-M8</f>
        <v/>
      </c>
    </row>
    <row r="10">
      <c r="A10" s="2" t="inlineStr">
        <is>
          <t>Segment margin</t>
        </is>
      </c>
      <c r="B10" s="15">
        <f>B9/B3</f>
        <v/>
      </c>
      <c r="C10" s="15">
        <f>C9/C3</f>
        <v/>
      </c>
      <c r="D10" s="15">
        <f>D9/D3</f>
        <v/>
      </c>
      <c r="E10" s="15">
        <f>E9/E3</f>
        <v/>
      </c>
      <c r="F10" s="15">
        <f>F9/F3</f>
        <v/>
      </c>
      <c r="G10" s="15">
        <f>G9/G3</f>
        <v/>
      </c>
      <c r="H10" s="15">
        <f>H9/H3</f>
        <v/>
      </c>
      <c r="I10" s="15">
        <f>I9/I3</f>
        <v/>
      </c>
      <c r="J10" s="15">
        <f>J9/J3</f>
        <v/>
      </c>
      <c r="K10" s="15">
        <f>K9/K3</f>
        <v/>
      </c>
      <c r="L10" s="15">
        <f>L9/L3</f>
        <v/>
      </c>
      <c r="M10" s="15">
        <f>M9/M3</f>
        <v/>
      </c>
    </row>
    <row r="11">
      <c r="A11" s="2" t="inlineStr">
        <is>
          <t>Unallocated G&amp;A</t>
        </is>
      </c>
      <c r="B11" s="14" t="inlineStr"/>
      <c r="C11" s="14" t="inlineStr"/>
      <c r="D11" s="14" t="n">
        <v>25.426</v>
      </c>
      <c r="E11" s="14" t="inlineStr"/>
      <c r="F11" s="14" t="inlineStr"/>
      <c r="G11" s="14" t="n">
        <v>30.322</v>
      </c>
      <c r="H11" s="14" t="inlineStr"/>
      <c r="I11" s="14" t="inlineStr"/>
      <c r="J11" s="14" t="n">
        <v>31.512</v>
      </c>
      <c r="K11" s="14" t="inlineStr"/>
      <c r="L11" s="14" t="inlineStr"/>
      <c r="M11" s="14" t="n">
        <v>8.481999999999999</v>
      </c>
    </row>
    <row r="12">
      <c r="A12" s="2" t="inlineStr">
        <is>
          <t>Other income, net</t>
        </is>
      </c>
      <c r="B12" s="14" t="inlineStr"/>
      <c r="C12" s="14" t="inlineStr"/>
      <c r="D12" s="14" t="n">
        <v>-5.789</v>
      </c>
      <c r="E12" s="14" t="inlineStr"/>
      <c r="F12" s="14" t="inlineStr"/>
      <c r="G12" s="14" t="n">
        <v>-2.549</v>
      </c>
      <c r="H12" s="14" t="inlineStr"/>
      <c r="I12" s="14" t="inlineStr"/>
      <c r="J12" s="14" t="n">
        <v>-0.716</v>
      </c>
      <c r="K12" s="14" t="inlineStr"/>
      <c r="L12" s="14" t="inlineStr"/>
      <c r="M12" s="14" t="n">
        <v>-1.02</v>
      </c>
    </row>
    <row r="13">
      <c r="A13" s="2" t="inlineStr">
        <is>
          <t>Interest expense</t>
        </is>
      </c>
      <c r="B13" s="14" t="inlineStr"/>
      <c r="C13" s="14" t="inlineStr"/>
      <c r="D13" s="14" t="n">
        <v>5.424</v>
      </c>
      <c r="E13" s="14" t="inlineStr"/>
      <c r="F13" s="14" t="inlineStr"/>
      <c r="G13" s="14" t="n">
        <v>7.286</v>
      </c>
      <c r="H13" s="14" t="inlineStr"/>
      <c r="I13" s="14" t="inlineStr"/>
      <c r="J13" s="14" t="n">
        <v>8.414999999999999</v>
      </c>
      <c r="K13" s="14" t="inlineStr"/>
      <c r="L13" s="14" t="inlineStr"/>
      <c r="M13" s="14" t="n">
        <v>2.266</v>
      </c>
    </row>
    <row r="14">
      <c r="A14" s="2" t="inlineStr">
        <is>
          <t>Debt extinguishment</t>
        </is>
      </c>
      <c r="B14" s="14" t="inlineStr"/>
      <c r="C14" s="14" t="inlineStr"/>
      <c r="D14" s="14" t="n">
        <v>0</v>
      </c>
      <c r="E14" s="14" t="inlineStr"/>
      <c r="F14" s="14" t="inlineStr"/>
      <c r="G14" s="14" t="n">
        <v>4.427</v>
      </c>
      <c r="H14" s="14" t="inlineStr"/>
      <c r="I14" s="14" t="inlineStr"/>
      <c r="J14" s="14" t="n">
        <v>0</v>
      </c>
      <c r="K14" s="14" t="inlineStr"/>
      <c r="L14" s="14" t="inlineStr"/>
      <c r="M14" s="14" t="n">
        <v>0.539</v>
      </c>
    </row>
    <row r="15">
      <c r="A15" s="2" t="inlineStr">
        <is>
          <t>Net loss</t>
        </is>
      </c>
      <c r="B15" s="14" t="inlineStr"/>
      <c r="C15" s="14" t="inlineStr"/>
      <c r="D15" s="14">
        <f>D9-D11-D12-D13-D14</f>
        <v/>
      </c>
      <c r="E15" s="14" t="inlineStr"/>
      <c r="F15" s="14" t="inlineStr"/>
      <c r="G15" s="14">
        <f>G9-G11-G12-G13-G14</f>
        <v/>
      </c>
      <c r="H15" s="14" t="inlineStr"/>
      <c r="I15" s="14" t="inlineStr"/>
      <c r="J15" s="14">
        <f>J9-J11-J12-J13-J14</f>
        <v/>
      </c>
      <c r="K15" s="14" t="inlineStr"/>
      <c r="L15" s="14" t="inlineStr"/>
      <c r="M15" s="14">
        <f>M9-M11-M12-M13-M14</f>
        <v/>
      </c>
    </row>
    <row r="16">
      <c r="A16" s="2" t="n"/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14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44" customWidth="1" min="4" max="4"/>
  </cols>
  <sheetData>
    <row r="1">
      <c r="A1" s="1" t="inlineStr">
        <is>
          <t>Spravato vs COMP360 Clinic Unit Economics</t>
        </is>
      </c>
      <c r="B1" s="12" t="n"/>
      <c r="C1" s="12" t="n"/>
      <c r="D1" s="12" t="n"/>
      <c r="E1" s="12" t="n"/>
      <c r="F1" s="12" t="n"/>
      <c r="G1" s="12" t="n"/>
      <c r="H1" s="13" t="n"/>
    </row>
    <row r="2">
      <c r="A2" s="3" t="inlineStr">
        <is>
          <t>Metric</t>
        </is>
      </c>
      <c r="B2" s="3" t="inlineStr">
        <is>
          <t>Spravato</t>
        </is>
      </c>
      <c r="C2" s="3" t="inlineStr">
        <is>
          <t>COMP360</t>
        </is>
      </c>
      <c r="D2" s="3" t="inlineStr">
        <is>
          <t>Formula / comment</t>
        </is>
      </c>
      <c r="E2" s="3" t="n"/>
      <c r="F2" s="3" t="n"/>
      <c r="G2" s="3" t="n"/>
      <c r="H2" s="3" t="n"/>
    </row>
    <row r="3">
      <c r="A3" s="2" t="inlineStr">
        <is>
          <t>Sessions per patient per year</t>
        </is>
      </c>
      <c r="B3" s="14">
        <f>Assumptions!B17</f>
        <v/>
      </c>
      <c r="C3" s="14">
        <f>Assumptions!B24</f>
        <v/>
      </c>
      <c r="D3" s="2" t="inlineStr">
        <is>
          <t>Spravato recurring vs COMP360 episodic</t>
        </is>
      </c>
      <c r="E3" s="2" t="n"/>
      <c r="F3" s="2" t="n"/>
      <c r="G3" s="2" t="n"/>
      <c r="H3" s="2" t="n"/>
    </row>
    <row r="4">
      <c r="A4" s="2" t="inlineStr">
        <is>
          <t>Session / monitoring hours</t>
        </is>
      </c>
      <c r="B4" s="14" t="n">
        <v>2</v>
      </c>
      <c r="C4" s="14">
        <f>Assumptions!B25</f>
        <v/>
      </c>
      <c r="D4" s="2" t="inlineStr">
        <is>
          <t>Spravato minimum observation 2 hours; COMP360 ~6 hours</t>
        </is>
      </c>
      <c r="E4" s="2" t="n"/>
      <c r="F4" s="2" t="n"/>
      <c r="G4" s="2" t="n"/>
      <c r="H4" s="2" t="n"/>
    </row>
    <row r="5">
      <c r="A5" s="2" t="inlineStr">
        <is>
          <t>Service / monitoring revenue per session</t>
        </is>
      </c>
      <c r="B5" s="9">
        <f>Assumptions!B18</f>
        <v/>
      </c>
      <c r="C5" s="9">
        <f>Assumptions!B26*Assumptions!B25</f>
        <v/>
      </c>
      <c r="D5" s="2" t="inlineStr"/>
      <c r="E5" s="2" t="n"/>
      <c r="F5" s="2" t="n"/>
      <c r="G5" s="2" t="n"/>
      <c r="H5" s="2" t="n"/>
    </row>
    <row r="6">
      <c r="A6" s="2" t="inlineStr">
        <is>
          <t>Drug revenue per session</t>
        </is>
      </c>
      <c r="B6" s="9">
        <f>Assumptions!B19*Assumptions!B21/100</f>
        <v/>
      </c>
      <c r="C6" s="9">
        <f>Assumptions!B27</f>
        <v/>
      </c>
      <c r="D6" s="2" t="inlineStr">
        <is>
          <t>Spravato weighted by buy-and-bill mix</t>
        </is>
      </c>
      <c r="E6" s="2" t="n"/>
      <c r="F6" s="2" t="n"/>
      <c r="G6" s="2" t="n"/>
      <c r="H6" s="2" t="n"/>
    </row>
    <row r="7">
      <c r="A7" s="2" t="inlineStr">
        <is>
          <t>Total revenue per session</t>
        </is>
      </c>
      <c r="B7" s="9">
        <f>B5+B6</f>
        <v/>
      </c>
      <c r="C7" s="9">
        <f>C5+C6</f>
        <v/>
      </c>
      <c r="D7" s="2" t="inlineStr"/>
      <c r="E7" s="2" t="n"/>
      <c r="F7" s="2" t="n"/>
      <c r="G7" s="2" t="n"/>
      <c r="H7" s="2" t="n"/>
    </row>
    <row r="8">
      <c r="A8" s="2" t="inlineStr">
        <is>
          <t>Drug COGS per session</t>
        </is>
      </c>
      <c r="B8" s="9">
        <f>Assumptions!B20*Assumptions!B21/100</f>
        <v/>
      </c>
      <c r="C8" s="9">
        <f>Assumptions!B28</f>
        <v/>
      </c>
      <c r="D8" s="2" t="inlineStr"/>
      <c r="E8" s="2" t="n"/>
      <c r="F8" s="2" t="n"/>
      <c r="G8" s="2" t="n"/>
      <c r="H8" s="2" t="n"/>
    </row>
    <row r="9">
      <c r="A9" s="2" t="inlineStr">
        <is>
          <t>Labor / other COGS per session</t>
        </is>
      </c>
      <c r="B9" s="9">
        <f>Assumptions!B22</f>
        <v/>
      </c>
      <c r="C9" s="9">
        <f>Assumptions!B29*Assumptions!B25+Assumptions!B30</f>
        <v/>
      </c>
      <c r="D9" s="2" t="inlineStr"/>
      <c r="E9" s="2" t="n"/>
      <c r="F9" s="2" t="n"/>
      <c r="G9" s="2" t="n"/>
      <c r="H9" s="2" t="n"/>
    </row>
    <row r="10">
      <c r="A10" s="2" t="inlineStr">
        <is>
          <t>Gross profit per session</t>
        </is>
      </c>
      <c r="B10" s="9">
        <f>B7-B8-B9</f>
        <v/>
      </c>
      <c r="C10" s="9">
        <f>C7-C8-C9</f>
        <v/>
      </c>
      <c r="D10" s="2" t="inlineStr"/>
      <c r="E10" s="2" t="n"/>
      <c r="F10" s="2" t="n"/>
      <c r="G10" s="2" t="n"/>
      <c r="H10" s="2" t="n"/>
    </row>
    <row r="11">
      <c r="A11" s="2" t="inlineStr">
        <is>
          <t>Gross margin per session</t>
        </is>
      </c>
      <c r="B11" s="15">
        <f>B10/B7</f>
        <v/>
      </c>
      <c r="C11" s="15">
        <f>C10/C7</f>
        <v/>
      </c>
      <c r="D11" s="2" t="inlineStr"/>
      <c r="E11" s="2" t="n"/>
      <c r="F11" s="2" t="n"/>
      <c r="G11" s="2" t="n"/>
      <c r="H11" s="2" t="n"/>
    </row>
    <row r="12">
      <c r="A12" s="2" t="inlineStr">
        <is>
          <t>Annual revenue / patient</t>
        </is>
      </c>
      <c r="B12" s="9">
        <f>B7*B3</f>
        <v/>
      </c>
      <c r="C12" s="9">
        <f>C7*C3</f>
        <v/>
      </c>
      <c r="D12" s="2" t="inlineStr"/>
      <c r="E12" s="2" t="n"/>
      <c r="F12" s="2" t="n"/>
      <c r="G12" s="2" t="n"/>
      <c r="H12" s="2" t="n"/>
    </row>
    <row r="13">
      <c r="A13" s="2" t="inlineStr">
        <is>
          <t>Annual gross profit / patient</t>
        </is>
      </c>
      <c r="B13" s="9">
        <f>B10*B3</f>
        <v/>
      </c>
      <c r="C13" s="9">
        <f>C10*C3</f>
        <v/>
      </c>
      <c r="D13" s="2" t="inlineStr"/>
      <c r="E13" s="2" t="n"/>
      <c r="F13" s="2" t="n"/>
      <c r="G13" s="2" t="n"/>
      <c r="H13" s="2" t="n"/>
    </row>
    <row r="14">
      <c r="A14" s="2" t="inlineStr">
        <is>
          <t>Rooms per center</t>
        </is>
      </c>
      <c r="B14" s="14">
        <f>Assumptions!B12</f>
        <v/>
      </c>
      <c r="C14" s="14">
        <f>Assumptions!B12</f>
        <v/>
      </c>
      <c r="D14" s="2" t="inlineStr">
        <is>
          <t>Uses existing rooms</t>
        </is>
      </c>
      <c r="E14" s="2" t="n"/>
      <c r="F14" s="2" t="n"/>
      <c r="G14" s="2" t="n"/>
      <c r="H14" s="2" t="n"/>
    </row>
    <row r="15">
      <c r="A15" s="2" t="inlineStr">
        <is>
          <t>Turns / room / day</t>
        </is>
      </c>
      <c r="B15" s="14">
        <f>Assumptions!B13</f>
        <v/>
      </c>
      <c r="C15" s="14" t="n">
        <v>1</v>
      </c>
      <c r="D15" s="2" t="inlineStr">
        <is>
          <t>COMP360 assumed one 6-hour session/day</t>
        </is>
      </c>
      <c r="E15" s="2" t="n"/>
      <c r="F15" s="2" t="n"/>
      <c r="G15" s="2" t="n"/>
      <c r="H15" s="2" t="n"/>
    </row>
    <row r="16">
      <c r="A16" s="2" t="inlineStr">
        <is>
          <t>Revenue / room-day</t>
        </is>
      </c>
      <c r="B16" s="9">
        <f>B7*B15</f>
        <v/>
      </c>
      <c r="C16" s="9">
        <f>C7*C15</f>
        <v/>
      </c>
      <c r="D16" s="2" t="inlineStr"/>
      <c r="E16" s="2" t="n"/>
      <c r="F16" s="2" t="n"/>
      <c r="G16" s="2" t="n"/>
      <c r="H16" s="2" t="n"/>
    </row>
    <row r="17">
      <c r="A17" s="2" t="inlineStr">
        <is>
          <t>Gross profit / room-day</t>
        </is>
      </c>
      <c r="B17" s="9">
        <f>B10*B15</f>
        <v/>
      </c>
      <c r="C17" s="9">
        <f>C10*C15</f>
        <v/>
      </c>
      <c r="D17" s="2" t="inlineStr">
        <is>
          <t>Key operating leverage comparison</t>
        </is>
      </c>
      <c r="E17" s="2" t="n"/>
      <c r="F17" s="2" t="n"/>
      <c r="G17" s="2" t="n"/>
      <c r="H17" s="2" t="n"/>
    </row>
    <row r="18">
      <c r="A18" s="2" t="inlineStr">
        <is>
          <t>Implied active rooms</t>
        </is>
      </c>
      <c r="B18" s="14">
        <f>Assumptions!B11*Assumptions!B12</f>
        <v/>
      </c>
      <c r="C18" s="14">
        <f>Assumptions!B11*Assumptions!B12</f>
        <v/>
      </c>
      <c r="D18" s="2" t="inlineStr"/>
      <c r="E18" s="2" t="n"/>
      <c r="F18" s="2" t="n"/>
      <c r="G18" s="2" t="n"/>
      <c r="H18" s="2" t="n"/>
    </row>
    <row r="19">
      <c r="A19" s="2" t="inlineStr">
        <is>
          <t>Network revenue capacity</t>
        </is>
      </c>
      <c r="B19" s="14">
        <f>B16*B18*Assumptions!B14/1000000</f>
        <v/>
      </c>
      <c r="C19" s="14">
        <f>C16*C18*Assumptions!B14/1000000</f>
        <v/>
      </c>
      <c r="D19" s="2" t="inlineStr">
        <is>
          <t>$mm/year</t>
        </is>
      </c>
      <c r="E19" s="2" t="n"/>
      <c r="F19" s="2" t="n"/>
      <c r="G19" s="2" t="n"/>
      <c r="H19" s="2" t="n"/>
    </row>
    <row r="20">
      <c r="A20" s="2" t="inlineStr">
        <is>
          <t>Network gross profit capacity</t>
        </is>
      </c>
      <c r="B20" s="14">
        <f>B17*B18*Assumptions!B14/1000000</f>
        <v/>
      </c>
      <c r="C20" s="14">
        <f>C17*C18*Assumptions!B14/1000000</f>
        <v/>
      </c>
      <c r="D20" s="2" t="inlineStr">
        <is>
          <t>$mm/year</t>
        </is>
      </c>
      <c r="E20" s="2" t="n"/>
      <c r="F20" s="2" t="n"/>
      <c r="G20" s="2" t="n"/>
      <c r="H20" s="2" t="n"/>
    </row>
    <row r="21">
      <c r="A21" s="2" t="inlineStr">
        <is>
          <t>COMP360 GP / Spravato GP per room-day</t>
        </is>
      </c>
      <c r="B21" s="14" t="inlineStr"/>
      <c r="C21" s="14">
        <f>C17/B17</f>
        <v/>
      </c>
      <c r="D21" s="2" t="inlineStr"/>
      <c r="E21" s="2" t="n"/>
      <c r="F21" s="2" t="n"/>
      <c r="G21" s="2" t="n"/>
      <c r="H21" s="2" t="n"/>
    </row>
    <row r="22">
      <c r="A22" s="2" t="n"/>
      <c r="B22" s="14" t="n"/>
      <c r="C22" s="14" t="n"/>
      <c r="D22" s="2" t="n"/>
      <c r="E22" s="2" t="n"/>
      <c r="F22" s="2" t="n"/>
      <c r="G22" s="2" t="n"/>
      <c r="H22" s="2" t="n"/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pane ySplit="2" topLeftCell="A3" activePane="bottomLeft" state="frozen"/>
      <selection pane="bottomLef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Scenario Forecast ($mm except per-share)</t>
        </is>
      </c>
      <c r="B1" s="12" t="n"/>
      <c r="C1" s="12" t="n"/>
      <c r="D1" s="12" t="n"/>
      <c r="E1" s="12" t="n"/>
      <c r="F1" s="12" t="n"/>
      <c r="G1" s="12" t="n"/>
      <c r="H1" s="13" t="n"/>
      <c r="I1" s="2" t="n"/>
      <c r="J1" s="2" t="n"/>
    </row>
    <row r="2">
      <c r="A2" s="3" t="inlineStr">
        <is>
          <t>Metric</t>
        </is>
      </c>
      <c r="B2" s="3" t="inlineStr">
        <is>
          <t>2026E Base</t>
        </is>
      </c>
      <c r="C2" s="3" t="inlineStr">
        <is>
          <t>2027E Base</t>
        </is>
      </c>
      <c r="D2" s="3" t="inlineStr">
        <is>
          <t>2028E Base</t>
        </is>
      </c>
      <c r="E2" s="3" t="inlineStr">
        <is>
          <t>2029E Base</t>
        </is>
      </c>
      <c r="F2" s="3" t="inlineStr">
        <is>
          <t>2030E Base</t>
        </is>
      </c>
      <c r="G2" s="3" t="inlineStr">
        <is>
          <t>2027E COMP360</t>
        </is>
      </c>
      <c r="H2" s="3" t="inlineStr">
        <is>
          <t>2028E COMP360</t>
        </is>
      </c>
      <c r="I2" s="3" t="inlineStr">
        <is>
          <t>2029E COMP360</t>
        </is>
      </c>
      <c r="J2" s="3" t="inlineStr">
        <is>
          <t>2030E COMP360</t>
        </is>
      </c>
    </row>
    <row r="3">
      <c r="A3" s="2" t="inlineStr">
        <is>
          <t>Medical device revenue</t>
        </is>
      </c>
      <c r="B3" s="14">
        <f>Assumptions!B34*0.38</f>
        <v/>
      </c>
      <c r="C3" s="14">
        <f>B3*1.03</f>
        <v/>
      </c>
      <c r="D3" s="14">
        <f>C3*1.03</f>
        <v/>
      </c>
      <c r="E3" s="14">
        <f>D3*1.03</f>
        <v/>
      </c>
      <c r="F3" s="14">
        <f>E3*1.03</f>
        <v/>
      </c>
      <c r="G3" s="14">
        <f>C3</f>
        <v/>
      </c>
      <c r="H3" s="14">
        <f>D3</f>
        <v/>
      </c>
      <c r="I3" s="14">
        <f>E3</f>
        <v/>
      </c>
      <c r="J3" s="14">
        <f>F3</f>
        <v/>
      </c>
    </row>
    <row r="4">
      <c r="A4" s="2" t="inlineStr">
        <is>
          <t>Clinic revenue excl. COMP360</t>
        </is>
      </c>
      <c r="B4" s="14">
        <f>Assumptions!B34*0.62</f>
        <v/>
      </c>
      <c r="C4" s="14">
        <f>B4*1.10</f>
        <v/>
      </c>
      <c r="D4" s="14">
        <f>C4*1.10</f>
        <v/>
      </c>
      <c r="E4" s="14">
        <f>D4*1.10</f>
        <v/>
      </c>
      <c r="F4" s="14">
        <f>E4*1.10</f>
        <v/>
      </c>
      <c r="G4" s="14">
        <f>C4</f>
        <v/>
      </c>
      <c r="H4" s="14">
        <f>D4</f>
        <v/>
      </c>
      <c r="I4" s="14">
        <f>E4</f>
        <v/>
      </c>
      <c r="J4" s="14">
        <f>F4</f>
        <v/>
      </c>
    </row>
    <row r="5">
      <c r="A5" s="2" t="inlineStr">
        <is>
          <t>COMP360 centers live</t>
        </is>
      </c>
      <c r="B5" s="14" t="n">
        <v>0</v>
      </c>
      <c r="C5" s="14" t="n">
        <v>0</v>
      </c>
      <c r="D5" s="14" t="n">
        <v>0</v>
      </c>
      <c r="E5" s="14" t="n">
        <v>0</v>
      </c>
      <c r="F5" s="14" t="n">
        <v>0</v>
      </c>
      <c r="G5" s="14" t="n">
        <v>20</v>
      </c>
      <c r="H5" s="14" t="n">
        <v>60</v>
      </c>
      <c r="I5" s="14" t="n">
        <v>84</v>
      </c>
      <c r="J5" s="14" t="n">
        <v>84</v>
      </c>
    </row>
    <row r="6">
      <c r="A6" s="2" t="inlineStr">
        <is>
          <t>COMP360 patients / center / month</t>
        </is>
      </c>
      <c r="B6" s="14" t="n">
        <v>0</v>
      </c>
      <c r="C6" s="14" t="n">
        <v>0</v>
      </c>
      <c r="D6" s="14" t="n">
        <v>0</v>
      </c>
      <c r="E6" s="14" t="n">
        <v>0</v>
      </c>
      <c r="F6" s="14" t="n">
        <v>0</v>
      </c>
      <c r="G6" s="14" t="n">
        <v>6</v>
      </c>
      <c r="H6" s="14" t="n">
        <v>10</v>
      </c>
      <c r="I6" s="14" t="n">
        <v>14</v>
      </c>
      <c r="J6" s="14" t="n">
        <v>18</v>
      </c>
    </row>
    <row r="7">
      <c r="A7" s="2" t="inlineStr">
        <is>
          <t>COMP360 revenue</t>
        </is>
      </c>
      <c r="B7" s="14" t="n">
        <v>0</v>
      </c>
      <c r="C7" s="14" t="n">
        <v>0</v>
      </c>
      <c r="D7" s="14" t="n">
        <v>0</v>
      </c>
      <c r="E7" s="14" t="n">
        <v>0</v>
      </c>
      <c r="F7" s="14" t="n">
        <v>0</v>
      </c>
      <c r="G7" s="14">
        <f>G5*G6*12*Clinic_Unit_Econ!C12/1000000</f>
        <v/>
      </c>
      <c r="H7" s="14">
        <f>H5*H6*12*Clinic_Unit_Econ!C12/1000000</f>
        <v/>
      </c>
      <c r="I7" s="14">
        <f>I5*I6*12*Clinic_Unit_Econ!C12/1000000</f>
        <v/>
      </c>
      <c r="J7" s="14">
        <f>J5*J6*12*Clinic_Unit_Econ!C12/1000000</f>
        <v/>
      </c>
    </row>
    <row r="8">
      <c r="A8" s="2" t="inlineStr">
        <is>
          <t>Total revenue</t>
        </is>
      </c>
      <c r="B8" s="14">
        <f>B3+B4+B7</f>
        <v/>
      </c>
      <c r="C8" s="14">
        <f>C3+C4+C7</f>
        <v/>
      </c>
      <c r="D8" s="14">
        <f>D3+D4+D7</f>
        <v/>
      </c>
      <c r="E8" s="14">
        <f>E3+E4+E7</f>
        <v/>
      </c>
      <c r="F8" s="14">
        <f>F3+F4+F7</f>
        <v/>
      </c>
      <c r="G8" s="14">
        <f>G3+G4+G7</f>
        <v/>
      </c>
      <c r="H8" s="14">
        <f>H3+H4+H7</f>
        <v/>
      </c>
      <c r="I8" s="14">
        <f>I3+I4+I7</f>
        <v/>
      </c>
      <c r="J8" s="14">
        <f>J3+J4+J7</f>
        <v/>
      </c>
    </row>
    <row r="9">
      <c r="A9" s="2" t="inlineStr">
        <is>
          <t>Gross profit before COMP360</t>
        </is>
      </c>
      <c r="B9" s="14">
        <f>(B3+B4)*Assumptions!B35/100</f>
        <v/>
      </c>
      <c r="C9" s="14">
        <f>(C3+C4)*0.49</f>
        <v/>
      </c>
      <c r="D9" s="14">
        <f>(D3+D4)*0.50</f>
        <v/>
      </c>
      <c r="E9" s="14">
        <f>(E3+E4)*0.51</f>
        <v/>
      </c>
      <c r="F9" s="14">
        <f>(F3+F4)*0.52</f>
        <v/>
      </c>
      <c r="G9" s="14">
        <f>(G3+G4)*0.49</f>
        <v/>
      </c>
      <c r="H9" s="14">
        <f>(H3+H4)*0.50</f>
        <v/>
      </c>
      <c r="I9" s="14">
        <f>(I3+I4)*0.51</f>
        <v/>
      </c>
      <c r="J9" s="14">
        <f>(J3+J4)*0.52</f>
        <v/>
      </c>
    </row>
    <row r="10">
      <c r="A10" s="2" t="inlineStr">
        <is>
          <t>Incremental COMP360 gross profit</t>
        </is>
      </c>
      <c r="B10" s="14" t="n">
        <v>0</v>
      </c>
      <c r="C10" s="14" t="n">
        <v>0</v>
      </c>
      <c r="D10" s="14" t="n">
        <v>0</v>
      </c>
      <c r="E10" s="14" t="n">
        <v>0</v>
      </c>
      <c r="F10" s="14" t="n">
        <v>0</v>
      </c>
      <c r="G10" s="14">
        <f>G5*G6*12*Clinic_Unit_Econ!C13/1000000</f>
        <v/>
      </c>
      <c r="H10" s="14">
        <f>H5*H6*12*Clinic_Unit_Econ!C13/1000000</f>
        <v/>
      </c>
      <c r="I10" s="14">
        <f>I5*I6*12*Clinic_Unit_Econ!C13/1000000</f>
        <v/>
      </c>
      <c r="J10" s="14">
        <f>J5*J6*12*Clinic_Unit_Econ!C13/1000000</f>
        <v/>
      </c>
    </row>
    <row r="11">
      <c r="A11" s="2" t="inlineStr">
        <is>
          <t>Total gross profit</t>
        </is>
      </c>
      <c r="B11" s="14">
        <f>B9+B10</f>
        <v/>
      </c>
      <c r="C11" s="14">
        <f>C9+C10</f>
        <v/>
      </c>
      <c r="D11" s="14">
        <f>D9+D10</f>
        <v/>
      </c>
      <c r="E11" s="14">
        <f>E9+E10</f>
        <v/>
      </c>
      <c r="F11" s="14">
        <f>F9+F10</f>
        <v/>
      </c>
      <c r="G11" s="14">
        <f>G9+G10</f>
        <v/>
      </c>
      <c r="H11" s="14">
        <f>H9+H10</f>
        <v/>
      </c>
      <c r="I11" s="14">
        <f>I9+I10</f>
        <v/>
      </c>
      <c r="J11" s="14">
        <f>J9+J10</f>
        <v/>
      </c>
    </row>
    <row r="12">
      <c r="A12" s="2" t="inlineStr">
        <is>
          <t>Operating expense</t>
        </is>
      </c>
      <c r="B12" s="14">
        <f>Assumptions!B36</f>
        <v/>
      </c>
      <c r="C12" s="14">
        <f>B12*1.03</f>
        <v/>
      </c>
      <c r="D12" s="14">
        <f>C12*1.03</f>
        <v/>
      </c>
      <c r="E12" s="14">
        <f>D12*1.03</f>
        <v/>
      </c>
      <c r="F12" s="14">
        <f>E12*1.03</f>
        <v/>
      </c>
      <c r="G12" s="14">
        <f>C12+1.5</f>
        <v/>
      </c>
      <c r="H12" s="14">
        <f>D12+3.0</f>
        <v/>
      </c>
      <c r="I12" s="14">
        <f>E12+4.0</f>
        <v/>
      </c>
      <c r="J12" s="14">
        <f>F12+5.0</f>
        <v/>
      </c>
    </row>
    <row r="13">
      <c r="A13" s="2" t="inlineStr">
        <is>
          <t>EBITDA proxy</t>
        </is>
      </c>
      <c r="B13" s="14">
        <f>B11-B12</f>
        <v/>
      </c>
      <c r="C13" s="14">
        <f>C11-C12</f>
        <v/>
      </c>
      <c r="D13" s="14">
        <f>D11-D12</f>
        <v/>
      </c>
      <c r="E13" s="14">
        <f>E11-E12</f>
        <v/>
      </c>
      <c r="F13" s="14">
        <f>F11-F12</f>
        <v/>
      </c>
      <c r="G13" s="14">
        <f>G11-G12</f>
        <v/>
      </c>
      <c r="H13" s="14">
        <f>H11-H12</f>
        <v/>
      </c>
      <c r="I13" s="14">
        <f>I11-I12</f>
        <v/>
      </c>
      <c r="J13" s="14">
        <f>J11-J12</f>
        <v/>
      </c>
    </row>
    <row r="14">
      <c r="A14" s="2" t="inlineStr">
        <is>
          <t>COMP360 EBITDA uplift vs base</t>
        </is>
      </c>
      <c r="B14" s="14" t="inlineStr"/>
      <c r="C14" s="14" t="inlineStr"/>
      <c r="D14" s="14" t="inlineStr"/>
      <c r="E14" s="14" t="inlineStr"/>
      <c r="F14" s="14" t="inlineStr"/>
      <c r="G14" s="14">
        <f>G13-C13</f>
        <v/>
      </c>
      <c r="H14" s="14">
        <f>H13-D13</f>
        <v/>
      </c>
      <c r="I14" s="14">
        <f>I13-E13</f>
        <v/>
      </c>
      <c r="J14" s="14">
        <f>J13-F13</f>
        <v/>
      </c>
    </row>
    <row r="15">
      <c r="A15" s="2" t="inlineStr">
        <is>
          <t>Gross margin</t>
        </is>
      </c>
      <c r="B15" s="14">
        <f>B11/B8</f>
        <v/>
      </c>
      <c r="C15" s="14">
        <f>C11/C8</f>
        <v/>
      </c>
      <c r="D15" s="14">
        <f>D11/D8</f>
        <v/>
      </c>
      <c r="E15" s="14">
        <f>E11/E8</f>
        <v/>
      </c>
      <c r="F15" s="14">
        <f>F11/F8</f>
        <v/>
      </c>
      <c r="G15" s="14">
        <f>G11/G8</f>
        <v/>
      </c>
      <c r="H15" s="14">
        <f>H11/H8</f>
        <v/>
      </c>
      <c r="I15" s="14">
        <f>I11/I8</f>
        <v/>
      </c>
      <c r="J15" s="14">
        <f>J11/J8</f>
        <v/>
      </c>
    </row>
    <row r="16">
      <c r="A16" s="2" t="n"/>
      <c r="B16" s="15" t="n"/>
      <c r="C16" s="15" t="n"/>
      <c r="D16" s="15" t="n"/>
      <c r="E16" s="15" t="n"/>
      <c r="F16" s="15" t="n"/>
      <c r="G16" s="15" t="n"/>
      <c r="H16" s="15" t="n"/>
      <c r="I16" s="15" t="n"/>
      <c r="J16" s="15" t="n"/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8" customWidth="1" min="3" max="3"/>
  </cols>
  <sheetData>
    <row r="1">
      <c r="A1" s="1" t="inlineStr">
        <is>
          <t>Valuation Sensitivity</t>
        </is>
      </c>
      <c r="B1" s="12" t="n"/>
      <c r="C1" s="12" t="n"/>
      <c r="D1" s="12" t="n"/>
      <c r="E1" s="12" t="n"/>
      <c r="F1" s="12" t="n"/>
      <c r="G1" s="12" t="n"/>
      <c r="H1" s="13" t="n"/>
    </row>
    <row r="2">
      <c r="A2" s="3" t="inlineStr">
        <is>
          <t>Metric</t>
        </is>
      </c>
      <c r="B2" s="3" t="inlineStr">
        <is>
          <t>Value</t>
        </is>
      </c>
      <c r="C2" s="3" t="inlineStr">
        <is>
          <t>Formula / comment</t>
        </is>
      </c>
      <c r="D2" s="3" t="n"/>
      <c r="E2" s="3" t="n"/>
      <c r="F2" s="3" t="n"/>
      <c r="G2" s="3" t="n"/>
      <c r="H2" s="3" t="n"/>
    </row>
    <row r="3">
      <c r="A3" s="2" t="inlineStr">
        <is>
          <t>Market cap</t>
        </is>
      </c>
      <c r="B3" s="9">
        <f>Assumptions!B3*Assumptions!B4</f>
        <v/>
      </c>
      <c r="C3" s="2" t="inlineStr">
        <is>
          <t>$mm</t>
        </is>
      </c>
      <c r="D3" s="2" t="n"/>
      <c r="E3" s="2" t="n"/>
      <c r="F3" s="2" t="n"/>
      <c r="G3" s="2" t="n"/>
      <c r="H3" s="2" t="n"/>
    </row>
    <row r="4">
      <c r="A4" s="2" t="inlineStr">
        <is>
          <t>Enterprise value</t>
        </is>
      </c>
      <c r="B4" s="9">
        <f>B3+Assumptions!B6-Assumptions!B5</f>
        <v/>
      </c>
      <c r="C4" s="2" t="inlineStr">
        <is>
          <t>$mm</t>
        </is>
      </c>
      <c r="D4" s="2" t="n"/>
      <c r="E4" s="2" t="n"/>
      <c r="F4" s="2" t="n"/>
      <c r="G4" s="2" t="n"/>
      <c r="H4" s="2" t="n"/>
    </row>
    <row r="5">
      <c r="A5" s="2" t="inlineStr">
        <is>
          <t>2030E Base EBITDA</t>
        </is>
      </c>
      <c r="B5" s="9">
        <f>Forecast!F13</f>
        <v/>
      </c>
      <c r="C5" s="2" t="inlineStr">
        <is>
          <t>$mm</t>
        </is>
      </c>
      <c r="D5" s="2" t="n"/>
      <c r="E5" s="2" t="n"/>
      <c r="F5" s="2" t="n"/>
      <c r="G5" s="2" t="n"/>
      <c r="H5" s="2" t="n"/>
    </row>
    <row r="6">
      <c r="A6" s="2" t="inlineStr">
        <is>
          <t>2030E COMP360 EBITDA</t>
        </is>
      </c>
      <c r="B6" s="9">
        <f>Forecast!J13</f>
        <v/>
      </c>
      <c r="C6" s="2" t="inlineStr">
        <is>
          <t>$mm</t>
        </is>
      </c>
      <c r="D6" s="2" t="n"/>
      <c r="E6" s="2" t="n"/>
      <c r="F6" s="2" t="n"/>
      <c r="G6" s="2" t="n"/>
      <c r="H6" s="2" t="n"/>
    </row>
    <row r="7">
      <c r="A7" s="2" t="inlineStr">
        <is>
          <t>Multiple</t>
        </is>
      </c>
      <c r="B7" s="9">
        <f>Assumptions!B38</f>
        <v/>
      </c>
      <c r="C7" s="2" t="inlineStr">
        <is>
          <t>x EBITDA</t>
        </is>
      </c>
      <c r="D7" s="2" t="n"/>
      <c r="E7" s="2" t="n"/>
      <c r="F7" s="2" t="n"/>
      <c r="G7" s="2" t="n"/>
      <c r="H7" s="2" t="n"/>
    </row>
    <row r="8">
      <c r="A8" s="2" t="inlineStr">
        <is>
          <t>Base implied EV</t>
        </is>
      </c>
      <c r="B8" s="10">
        <f>B5*B7</f>
        <v/>
      </c>
      <c r="C8" s="2" t="inlineStr">
        <is>
          <t>$mm</t>
        </is>
      </c>
      <c r="D8" s="2" t="n"/>
      <c r="E8" s="2" t="n"/>
      <c r="F8" s="2" t="n"/>
      <c r="G8" s="2" t="n"/>
      <c r="H8" s="2" t="n"/>
    </row>
    <row r="9">
      <c r="A9" s="2" t="inlineStr">
        <is>
          <t>COMP360 implied EV</t>
        </is>
      </c>
      <c r="B9" s="9">
        <f>B6*B7</f>
        <v/>
      </c>
      <c r="C9" s="2" t="inlineStr">
        <is>
          <t>$mm</t>
        </is>
      </c>
      <c r="D9" s="2" t="n"/>
      <c r="E9" s="2" t="n"/>
      <c r="F9" s="2" t="n"/>
      <c r="G9" s="2" t="n"/>
      <c r="H9" s="2" t="n"/>
    </row>
    <row r="10">
      <c r="A10" s="2" t="inlineStr">
        <is>
          <t>Base implied equity value</t>
        </is>
      </c>
      <c r="B10" s="9">
        <f>B8-Assumptions!B6+Assumptions!B5</f>
        <v/>
      </c>
      <c r="C10" s="2" t="inlineStr">
        <is>
          <t>$mm</t>
        </is>
      </c>
      <c r="D10" s="2" t="n"/>
      <c r="E10" s="2" t="n"/>
      <c r="F10" s="2" t="n"/>
      <c r="G10" s="2" t="n"/>
      <c r="H10" s="2" t="n"/>
    </row>
    <row r="11">
      <c r="A11" s="2" t="inlineStr">
        <is>
          <t>COMP360 implied equity value</t>
        </is>
      </c>
      <c r="B11" s="9">
        <f>B9-Assumptions!B6+Assumptions!B5</f>
        <v/>
      </c>
      <c r="C11" s="2" t="inlineStr">
        <is>
          <t>$mm</t>
        </is>
      </c>
      <c r="D11" s="2" t="n"/>
      <c r="E11" s="2" t="n"/>
      <c r="F11" s="2" t="n"/>
      <c r="G11" s="2" t="n"/>
      <c r="H11" s="2" t="n"/>
    </row>
    <row r="12">
      <c r="A12" s="2" t="inlineStr">
        <is>
          <t>Base implied price</t>
        </is>
      </c>
      <c r="B12" s="9">
        <f>B10/Assumptions!B4</f>
        <v/>
      </c>
      <c r="C12" s="2" t="inlineStr">
        <is>
          <t>$ / share</t>
        </is>
      </c>
      <c r="D12" s="2" t="n"/>
      <c r="E12" s="2" t="n"/>
      <c r="F12" s="2" t="n"/>
      <c r="G12" s="2" t="n"/>
      <c r="H12" s="2" t="n"/>
    </row>
    <row r="13">
      <c r="A13" s="2" t="inlineStr">
        <is>
          <t>COMP360 implied price</t>
        </is>
      </c>
      <c r="B13" s="9">
        <f>B11/Assumptions!B4</f>
        <v/>
      </c>
      <c r="C13" s="2" t="inlineStr">
        <is>
          <t>$ / share</t>
        </is>
      </c>
      <c r="D13" s="2" t="n"/>
      <c r="E13" s="2" t="n"/>
      <c r="F13" s="2" t="n"/>
      <c r="G13" s="2" t="n"/>
      <c r="H13" s="2" t="n"/>
    </row>
    <row r="14">
      <c r="A14" s="2" t="inlineStr">
        <is>
          <t>COMP360 upside vs current</t>
        </is>
      </c>
      <c r="B14" s="9">
        <f>B13/Assumptions!B3-1</f>
        <v/>
      </c>
      <c r="C14" s="2" t="inlineStr">
        <is>
          <t>%</t>
        </is>
      </c>
      <c r="D14" s="2" t="n"/>
      <c r="E14" s="2" t="n"/>
      <c r="F14" s="2" t="n"/>
      <c r="G14" s="2" t="n"/>
      <c r="H14" s="2" t="n"/>
    </row>
    <row r="15">
      <c r="A15" s="2" t="n"/>
      <c r="B15" s="15" t="n"/>
      <c r="C15" s="2" t="n"/>
      <c r="D15" s="2" t="n"/>
      <c r="E15" s="2" t="n"/>
      <c r="F15" s="2" t="n"/>
      <c r="G15" s="2" t="n"/>
      <c r="H15" s="2" t="n"/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32" customWidth="1" min="2" max="2"/>
    <col width="70" customWidth="1" min="3" max="3"/>
    <col width="90" customWidth="1" min="4" max="4"/>
  </cols>
  <sheetData>
    <row r="1">
      <c r="A1" s="1" t="inlineStr">
        <is>
          <t>Sources / Citations</t>
        </is>
      </c>
      <c r="B1" s="12" t="n"/>
      <c r="C1" s="12" t="n"/>
      <c r="D1" s="12" t="n"/>
      <c r="E1" s="12" t="n"/>
      <c r="F1" s="12" t="n"/>
      <c r="G1" s="12" t="n"/>
      <c r="H1" s="13" t="n"/>
    </row>
    <row r="2">
      <c r="A2" s="3" t="inlineStr">
        <is>
          <t>Topic</t>
        </is>
      </c>
      <c r="B2" s="3" t="inlineStr">
        <is>
          <t>Source</t>
        </is>
      </c>
      <c r="C2" s="3" t="inlineStr">
        <is>
          <t>Key data used</t>
        </is>
      </c>
      <c r="D2" s="3" t="inlineStr">
        <is>
          <t>URL</t>
        </is>
      </c>
      <c r="E2" s="3" t="n"/>
      <c r="F2" s="3" t="n"/>
      <c r="G2" s="3" t="n"/>
      <c r="H2" s="3" t="n"/>
    </row>
    <row r="3">
      <c r="A3" s="4" t="inlineStr">
        <is>
          <t>STIM 2025 10-K</t>
        </is>
      </c>
      <c r="B3" s="4" t="inlineStr">
        <is>
          <t>SEC Form 10-K FY2025</t>
        </is>
      </c>
      <c r="C3" s="4" t="inlineStr">
        <is>
          <t>Segments: med device / clinic service; FY25 revenue, cost, gross profit, segment profit; 93 centers, 83 Spravato centers, 658 employees, shares.</t>
        </is>
      </c>
      <c r="D3" s="11" t="inlineStr">
        <is>
          <t>https://www.sec.gov/Archives/edgar/data/1227636/000110465926029004/stim-20251231x10k.htm</t>
        </is>
      </c>
      <c r="E3" s="2" t="n"/>
      <c r="F3" s="2" t="n"/>
      <c r="G3" s="2" t="n"/>
      <c r="H3" s="2" t="n"/>
    </row>
    <row r="4">
      <c r="A4" s="4" t="inlineStr">
        <is>
          <t>STIM Q1 2026 10-Q</t>
        </is>
      </c>
      <c r="B4" s="4" t="inlineStr">
        <is>
          <t>SEC Form 10-Q Q1 2026</t>
        </is>
      </c>
      <c r="C4" s="4" t="inlineStr">
        <is>
          <t>Q1 revenue/gross profit/segment profit; cash, restricted cash, debt, shares.</t>
        </is>
      </c>
      <c r="D4" s="11" t="inlineStr">
        <is>
          <t>https://www.sec.gov/Archives/edgar/data/1227636/000110465926055322/stim-20260331x10q.htm</t>
        </is>
      </c>
      <c r="E4" s="2" t="n"/>
      <c r="F4" s="2" t="n"/>
      <c r="G4" s="2" t="n"/>
      <c r="H4" s="2" t="n"/>
    </row>
    <row r="5">
      <c r="A5" s="4" t="inlineStr">
        <is>
          <t>STIM Q4 2025 earnings release</t>
        </is>
      </c>
      <c r="B5" s="4" t="inlineStr">
        <is>
          <t>Neuronetics IR / SEC EX-99.1</t>
        </is>
      </c>
      <c r="C5" s="4" t="inlineStr">
        <is>
          <t>FY25 revenue $149.2mm; clinic revenue $87.0mm; 2026 revenue guidance $160-$166mm; gross margin guidance 47%-49%; cash from ops.</t>
        </is>
      </c>
      <c r="D5" s="11" t="inlineStr">
        <is>
          <t>https://ir.neuronetics.com/news-releases/news-release-details/neuronetics-reports-fourth-quarter-and-full-year-2025-financial</t>
        </is>
      </c>
      <c r="E5" s="2" t="n"/>
      <c r="F5" s="2" t="n"/>
      <c r="G5" s="2" t="n"/>
      <c r="H5" s="2" t="n"/>
    </row>
    <row r="6">
      <c r="A6" s="4" t="inlineStr">
        <is>
          <t>STIM Q4 2025 call</t>
        </is>
      </c>
      <c r="B6" s="4" t="inlineStr">
        <is>
          <t>Motley Fool transcript</t>
        </is>
      </c>
      <c r="C6" s="4" t="inlineStr">
        <is>
          <t>84 Spravato clinics; Compass collaboration; limited incremental investment; existing staff/clinic infrastructure; 2026 CFO guide.</t>
        </is>
      </c>
      <c r="D6" s="11" t="inlineStr">
        <is>
          <t>https://www.fool.com/earnings/call-transcripts/2026/03/17/neuronetics-stim-q4-2025-earnings-transcript/</t>
        </is>
      </c>
      <c r="E6" s="2" t="n"/>
      <c r="F6" s="2" t="n"/>
      <c r="G6" s="2" t="n"/>
      <c r="H6" s="2" t="n"/>
    </row>
    <row r="7">
      <c r="A7" s="4" t="inlineStr">
        <is>
          <t>STIM corporate presentation</t>
        </is>
      </c>
      <c r="B7" s="4" t="inlineStr">
        <is>
          <t>Neuronetics Nov 2025 deck</t>
        </is>
      </c>
      <c r="C7" s="4" t="inlineStr">
        <is>
          <t>Spravato protocol: induction 8, taper 4, maintenance every 1-2 weeks; 82 centers offering Spravato, 89 target; pro forma revenue history.</t>
        </is>
      </c>
      <c r="D7" s="11" t="inlineStr">
        <is>
          <t>https://ir.neuronetics.com/static-files/42eb2913-5a97-4f03-8a78-805890a852d7</t>
        </is>
      </c>
      <c r="E7" s="2" t="n"/>
      <c r="F7" s="2" t="n"/>
      <c r="G7" s="2" t="n"/>
      <c r="H7" s="2" t="n"/>
    </row>
    <row r="8">
      <c r="A8" s="4" t="inlineStr">
        <is>
          <t>Compass COMP360 presentation</t>
        </is>
      </c>
      <c r="B8" s="4" t="inlineStr">
        <is>
          <t>SEC EX-99.1 Feb 2026</t>
        </is>
      </c>
      <c r="C8" s="4" t="inlineStr">
        <is>
          <t>COMP360 Phase 3 data, 4mm TRD patients, 1-2 dose durability, at least 6 hours monitoring at certified center.</t>
        </is>
      </c>
      <c r="D8" s="11" t="inlineStr">
        <is>
          <t>https://www.sec.gov/Archives/edgar/data/1816590/000181659026000007/exhibit991investorpresen.htm</t>
        </is>
      </c>
      <c r="E8" s="2" t="n"/>
      <c r="F8" s="2" t="n"/>
      <c r="G8" s="2" t="n"/>
      <c r="H8" s="2" t="n"/>
    </row>
    <row r="9">
      <c r="A9" s="4" t="inlineStr">
        <is>
          <t>Compass Q1 2026 call</t>
        </is>
      </c>
      <c r="B9" s="4" t="inlineStr">
        <is>
          <t>Motley Fool transcript</t>
        </is>
      </c>
      <c r="C9" s="4" t="inlineStr">
        <is>
          <t>Spravato rooms/staffing can support COMP360; 7,500 Spravato centers; Spravato max 3 patients/room/day; reimbursement south of $300 per Spravato session; buy-and-bill 35%-45%; 6-hour COMP360 observation.</t>
        </is>
      </c>
      <c r="D9" s="11" t="inlineStr">
        <is>
          <t>https://www.fool.com/earnings/call-transcripts/2026/05/13/compass-cmps-q1-2026-earnings-transcript/</t>
        </is>
      </c>
      <c r="E9" s="2" t="n"/>
      <c r="F9" s="2" t="n"/>
      <c r="G9" s="2" t="n"/>
      <c r="H9" s="2" t="n"/>
    </row>
    <row r="10">
      <c r="A10" s="4" t="inlineStr">
        <is>
          <t>Market price</t>
        </is>
      </c>
      <c r="B10" s="4" t="inlineStr">
        <is>
          <t>Exa search result</t>
        </is>
      </c>
      <c r="C10" s="4" t="inlineStr">
        <is>
          <t>STIM $1.39 as of Jun 3, 2026; update manually.</t>
        </is>
      </c>
      <c r="D10" s="11" t="inlineStr">
        <is>
          <t>https://exa.ai/library/markets/stock/STIM?t=6a21a8e7d93e6b0fbf6fb4e4</t>
        </is>
      </c>
      <c r="E10" s="2" t="n"/>
      <c r="F10" s="2" t="n"/>
      <c r="G10" s="2" t="n"/>
      <c r="H10" s="2" t="n"/>
    </row>
  </sheetData>
  <mergeCells count="1">
    <mergeCell ref="A1:H1"/>
  </mergeCells>
  <hyperlinks>
    <hyperlink xmlns:r="http://schemas.openxmlformats.org/officeDocument/2006/relationships" ref="D3" r:id="rId1"/>
    <hyperlink xmlns:r="http://schemas.openxmlformats.org/officeDocument/2006/relationships" ref="D4" r:id="rId2"/>
    <hyperlink xmlns:r="http://schemas.openxmlformats.org/officeDocument/2006/relationships" ref="D5" r:id="rId3"/>
    <hyperlink xmlns:r="http://schemas.openxmlformats.org/officeDocument/2006/relationships" ref="D6" r:id="rId4"/>
    <hyperlink xmlns:r="http://schemas.openxmlformats.org/officeDocument/2006/relationships" ref="D7" r:id="rId5"/>
    <hyperlink xmlns:r="http://schemas.openxmlformats.org/officeDocument/2006/relationships" ref="D8" r:id="rId6"/>
    <hyperlink xmlns:r="http://schemas.openxmlformats.org/officeDocument/2006/relationships" ref="D9" r:id="rId7"/>
    <hyperlink xmlns:r="http://schemas.openxmlformats.org/officeDocument/2006/relationships" ref="D10" r:id="rId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2026-06-04T15:36:44Z</dcterms:created>
  <dcterms:modified xmlns:dcterms="http://purl.org/dc/terms/" xmlns:xsi="http://www.w3.org/2001/XMLSchema-instance" xsi:type="dcterms:W3CDTF">2026-06-04T15:37:24Z</dcterms:modified>
</cp:coreProperties>
</file>